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videsandefjv.sharepoint.com/sites/Files/FAELLES/Dokumenter/Priser opvarmning af huse/"/>
    </mc:Choice>
  </mc:AlternateContent>
  <xr:revisionPtr revIDLastSave="0" documentId="8_{119BAD57-0A94-4672-B1E8-0123E13C057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U34" i="1"/>
  <c r="J19" i="1"/>
  <c r="J18" i="1"/>
  <c r="J17" i="1"/>
  <c r="S30" i="1"/>
  <c r="H30" i="1"/>
  <c r="U19" i="1"/>
  <c r="U12" i="1"/>
  <c r="U18" i="1"/>
  <c r="S32" i="1" l="1"/>
  <c r="H46" i="1"/>
  <c r="B43" i="1" l="1"/>
  <c r="U17" i="1" l="1"/>
  <c r="B46" i="1" l="1"/>
  <c r="B45" i="1"/>
  <c r="J48" i="1"/>
  <c r="H44" i="1"/>
  <c r="H59" i="1"/>
  <c r="C12" i="1"/>
  <c r="J12" i="1" s="1"/>
  <c r="M27" i="1"/>
  <c r="D55" i="1"/>
  <c r="B55" i="1"/>
  <c r="P16" i="1"/>
  <c r="P15" i="1"/>
  <c r="P14" i="1"/>
  <c r="P13" i="1"/>
  <c r="E16" i="1"/>
  <c r="J16" i="1" s="1"/>
  <c r="E15" i="1"/>
  <c r="J15" i="1" s="1"/>
  <c r="E14" i="1"/>
  <c r="J14" i="1" s="1"/>
  <c r="E13" i="1"/>
  <c r="M31" i="1"/>
  <c r="M32" i="1"/>
  <c r="D27" i="1"/>
  <c r="B27" i="1"/>
  <c r="B41" i="1" s="1"/>
  <c r="N14" i="1"/>
  <c r="O14" i="1"/>
  <c r="Q14" i="1"/>
  <c r="N15" i="1"/>
  <c r="O15" i="1"/>
  <c r="Q15" i="1"/>
  <c r="N16" i="1"/>
  <c r="O16" i="1"/>
  <c r="Q16" i="1"/>
  <c r="M19" i="1"/>
  <c r="M20" i="1"/>
  <c r="M21" i="1"/>
  <c r="N13" i="1"/>
  <c r="O13" i="1"/>
  <c r="Q13" i="1"/>
  <c r="M13" i="1"/>
  <c r="U15" i="1" l="1"/>
  <c r="U14" i="1"/>
  <c r="U16" i="1"/>
  <c r="C27" i="1"/>
  <c r="N27" i="1"/>
  <c r="N30" i="1" s="1"/>
  <c r="U32" i="1" s="1"/>
  <c r="C55" i="1"/>
  <c r="C59" i="1" l="1"/>
  <c r="J59" i="1" s="1"/>
  <c r="J62" i="1" s="1"/>
  <c r="J63" i="1" s="1"/>
  <c r="J64" i="1" s="1"/>
  <c r="C30" i="1"/>
  <c r="C41" i="1"/>
  <c r="C44" i="1" s="1"/>
  <c r="J20" i="1"/>
  <c r="J21" i="1" s="1"/>
  <c r="J22" i="1" s="1"/>
  <c r="J23" i="1" s="1"/>
  <c r="U30" i="1"/>
  <c r="U35" i="1" s="1"/>
  <c r="U36" i="1" s="1"/>
  <c r="U37" i="1" s="1"/>
  <c r="U20" i="1"/>
  <c r="U21" i="1" s="1"/>
  <c r="U22" i="1" s="1"/>
  <c r="U23" i="1" s="1"/>
  <c r="J30" i="1" l="1"/>
  <c r="J46" i="1"/>
  <c r="J44" i="1"/>
  <c r="J35" i="1"/>
  <c r="J36" i="1" s="1"/>
  <c r="J37" i="1" s="1"/>
  <c r="J49" i="1" l="1"/>
  <c r="J50" i="1" s="1"/>
  <c r="J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Trine Davidsen - Hvide Sande Fjernvarme</author>
  </authors>
  <commentList>
    <comment ref="B7" authorId="0" shapeId="0" xr:uid="{F76F7981-C7CF-46F1-B11C-1C537CE3EE14}">
      <text>
        <r>
          <rPr>
            <b/>
            <sz val="9"/>
            <color indexed="81"/>
            <rFont val="Tahoma"/>
            <charset val="1"/>
          </rPr>
          <t>Trine Davidsen - Hvide Sande Fjernvarme:</t>
        </r>
        <r>
          <rPr>
            <sz val="9"/>
            <color indexed="81"/>
            <rFont val="Tahoma"/>
            <charset val="1"/>
          </rPr>
          <t xml:space="preserve">
https://energieksperten.dk/pris-paa-varmepumpe-inkl-installation-det-fulde-overblik-2025/
Luft til vand
Pris er mellem 100000-150000
Jordvarme 
Pris er mellem 150000-250000
</t>
        </r>
      </text>
    </comment>
  </commentList>
</comments>
</file>

<file path=xl/sharedStrings.xml><?xml version="1.0" encoding="utf-8"?>
<sst xmlns="http://schemas.openxmlformats.org/spreadsheetml/2006/main" count="196" uniqueCount="64">
  <si>
    <t>Sammenligningsskema for opvarmning</t>
  </si>
  <si>
    <t>[MWh]</t>
  </si>
  <si>
    <t>Areal</t>
  </si>
  <si>
    <r>
      <t>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</si>
  <si>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Effektbidrag</t>
  </si>
  <si>
    <t>0-70</t>
  </si>
  <si>
    <t>70-100</t>
  </si>
  <si>
    <t>Standard fjernvarmeopvarmet hus</t>
  </si>
  <si>
    <t>á</t>
  </si>
  <si>
    <t>[DKK/MWh]</t>
  </si>
  <si>
    <t>[DKK]</t>
  </si>
  <si>
    <r>
      <t>[DKK/m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</si>
  <si>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Moms 25 %</t>
  </si>
  <si>
    <t>Lavenergi fjernvarmeopvarmet hus</t>
  </si>
  <si>
    <t>I alt (ekskl. moms)</t>
  </si>
  <si>
    <t>I alt (inkl. moms)</t>
  </si>
  <si>
    <r>
      <t>Abonnementsbidrag (inkl. de første 70 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effektbidrag)</t>
    </r>
  </si>
  <si>
    <t>Standard elopvarmet hus</t>
  </si>
  <si>
    <t>Standard olieopvarmet hus</t>
  </si>
  <si>
    <t>[kWh/l]</t>
  </si>
  <si>
    <t>Brændværdi fyringsolie</t>
  </si>
  <si>
    <t>Virkningsgrad kedel</t>
  </si>
  <si>
    <t>[-]</t>
  </si>
  <si>
    <t>[l]</t>
  </si>
  <si>
    <t>[DKK/l]</t>
  </si>
  <si>
    <t>Oliefyrsservice, skorstensfejning, el til brænder og pumper m.m.</t>
  </si>
  <si>
    <t>Reparation, forrentning og afskrivninger</t>
  </si>
  <si>
    <t>Lavenergi varmepumpeopvarmet hus</t>
  </si>
  <si>
    <t>Lavenergihus</t>
  </si>
  <si>
    <t xml:space="preserve">Reduktion af el-afgift for forbrug over </t>
  </si>
  <si>
    <r>
      <t>[kWh/m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/år]</t>
    </r>
  </si>
  <si>
    <t>COP varmepumpe</t>
  </si>
  <si>
    <t>Varmeforbrug standardhus</t>
  </si>
  <si>
    <t>Varmeforbrug lavenergihus</t>
  </si>
  <si>
    <t>Elforbrug til opvarmning</t>
  </si>
  <si>
    <t>[kWh]</t>
  </si>
  <si>
    <t>[øre/kWh]</t>
  </si>
  <si>
    <t>Serviceomkostninger</t>
  </si>
  <si>
    <t>Investering varmepumpe</t>
  </si>
  <si>
    <t>Kalkulationsrente</t>
  </si>
  <si>
    <t>år</t>
  </si>
  <si>
    <t>Forrentning og afskrivninger</t>
  </si>
  <si>
    <t>opdateret</t>
  </si>
  <si>
    <t>Standardhus</t>
  </si>
  <si>
    <r>
      <t>Areal (standard 130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])</t>
    </r>
  </si>
  <si>
    <t>Varmeforbrug standardhus (standard 18,1 [MWh])</t>
  </si>
  <si>
    <t>(tast i de gule felter)</t>
  </si>
  <si>
    <t>[DKK/l] (inkl. moms)</t>
  </si>
  <si>
    <t>Olieforbrug</t>
  </si>
  <si>
    <t>[øre/kWh] (inkl. moms)</t>
  </si>
  <si>
    <t>Standard varmepumpeopvarmet hus</t>
  </si>
  <si>
    <t>[m]</t>
  </si>
  <si>
    <t>[DKK/m]</t>
  </si>
  <si>
    <t>Stikledningsbidrag (hvis der ikke allerede er installeret fjernvarme)</t>
  </si>
  <si>
    <t>Afskrivningstid</t>
  </si>
  <si>
    <t>[DKK] (ekskl. Moms)</t>
  </si>
  <si>
    <r>
      <t>Energiramme (BR2020 25,0 [kWh/m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/år]) (Kan ændres)</t>
    </r>
  </si>
  <si>
    <t>101-150</t>
  </si>
  <si>
    <t>151-x</t>
  </si>
  <si>
    <t>Investeringsbidrag</t>
  </si>
  <si>
    <t xml:space="preserve">Pris gns. elspotpriser (2025.12.16) ekskl. afgift </t>
  </si>
  <si>
    <t>Pris fra fyringsolie-online.dk Super Olie (2025.12.16)</t>
  </si>
  <si>
    <t xml:space="preserve">Pris gns. elspotpriser (2025.12.16) inkl. afgift </t>
  </si>
  <si>
    <t>4.000 kWh 72 [øre/kWh] ekskl. moms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</si>
</sst>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_ * #,##0_ ;_ * \-#,##0_ ;_ * &quot;-&quot;?_ ;_ @_ "/>
    <numFmt numFmtId="168" formatCode="0.0%"/>
    <numFmt numFmtId="169" formatCode="yyyy\.mm\.dd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4.9989318521683403E-2"/>
      </bottom>
      <diagonal/>
    </border>
    <border>
      <left/>
      <right style="thin">
        <color indexed="64"/>
      </right>
      <top/>
      <bottom style="thin">
        <color theme="0" tint="-4.9989318521683403E-2"/>
      </bottom>
      <diagonal/>
    </border>
    <border>
      <left/>
      <right/>
      <top style="thin">
        <color indexed="64"/>
      </top>
      <bottom style="thin">
        <color theme="0" tint="-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indexed="64"/>
      </right>
      <top style="thin">
        <color theme="0" tint="-4.9989318521683403E-2"/>
      </top>
      <bottom/>
      <diagonal/>
    </border>
    <border>
      <left style="thin">
        <color indexed="64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0" tint="-4.9989318521683403E-2"/>
      </top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/>
      <top style="thin">
        <color theme="1"/>
      </top>
      <bottom style="thin">
        <color theme="0" tint="-4.9989318521683403E-2"/>
      </bottom>
      <diagonal/>
    </border>
    <border>
      <left/>
      <right/>
      <top style="thin">
        <color theme="1"/>
      </top>
      <bottom style="thin">
        <color theme="0" tint="-4.9989318521683403E-2"/>
      </bottom>
      <diagonal/>
    </border>
    <border>
      <left/>
      <right style="thin">
        <color indexed="64"/>
      </right>
      <top style="thin">
        <color theme="1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2" xfId="0" applyBorder="1"/>
    <xf numFmtId="0" fontId="0" fillId="0" borderId="3" xfId="0" applyBorder="1"/>
    <xf numFmtId="166" fontId="0" fillId="0" borderId="0" xfId="0" applyNumberFormat="1"/>
    <xf numFmtId="166" fontId="0" fillId="0" borderId="1" xfId="0" applyNumberFormat="1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167" fontId="0" fillId="0" borderId="0" xfId="0" applyNumberFormat="1"/>
    <xf numFmtId="166" fontId="3" fillId="0" borderId="6" xfId="0" applyNumberFormat="1" applyFont="1" applyBorder="1"/>
    <xf numFmtId="166" fontId="0" fillId="0" borderId="0" xfId="1" applyNumberFormat="1" applyFont="1" applyBorder="1" applyProtection="1"/>
    <xf numFmtId="165" fontId="0" fillId="0" borderId="0" xfId="0" applyNumberFormat="1"/>
    <xf numFmtId="166" fontId="0" fillId="2" borderId="1" xfId="1" applyNumberFormat="1" applyFont="1" applyFill="1" applyBorder="1" applyProtection="1">
      <protection locked="0"/>
    </xf>
    <xf numFmtId="0" fontId="0" fillId="0" borderId="7" xfId="0" applyBorder="1"/>
    <xf numFmtId="166" fontId="0" fillId="2" borderId="7" xfId="1" applyNumberFormat="1" applyFon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168" fontId="0" fillId="2" borderId="7" xfId="2" applyNumberFormat="1" applyFont="1" applyFill="1" applyBorder="1" applyProtection="1">
      <protection locked="0"/>
    </xf>
    <xf numFmtId="0" fontId="0" fillId="0" borderId="15" xfId="0" applyBorder="1"/>
    <xf numFmtId="165" fontId="0" fillId="0" borderId="13" xfId="1" applyNumberFormat="1" applyFont="1" applyBorder="1" applyProtection="1"/>
    <xf numFmtId="165" fontId="0" fillId="0" borderId="13" xfId="0" applyNumberFormat="1" applyBorder="1"/>
    <xf numFmtId="0" fontId="0" fillId="0" borderId="13" xfId="0" applyBorder="1"/>
    <xf numFmtId="166" fontId="0" fillId="0" borderId="13" xfId="1" applyNumberFormat="1" applyFont="1" applyBorder="1" applyProtection="1"/>
    <xf numFmtId="0" fontId="0" fillId="0" borderId="14" xfId="0" applyBorder="1"/>
    <xf numFmtId="0" fontId="0" fillId="0" borderId="16" xfId="0" applyBorder="1"/>
    <xf numFmtId="0" fontId="0" fillId="0" borderId="17" xfId="0" applyBorder="1"/>
    <xf numFmtId="165" fontId="0" fillId="0" borderId="17" xfId="0" applyNumberFormat="1" applyBorder="1"/>
    <xf numFmtId="166" fontId="0" fillId="0" borderId="17" xfId="1" applyNumberFormat="1" applyFont="1" applyBorder="1" applyProtection="1"/>
    <xf numFmtId="0" fontId="0" fillId="0" borderId="18" xfId="0" applyBorder="1"/>
    <xf numFmtId="0" fontId="0" fillId="2" borderId="17" xfId="0" applyFill="1" applyBorder="1" applyProtection="1">
      <protection locked="0"/>
    </xf>
    <xf numFmtId="0" fontId="0" fillId="0" borderId="15" xfId="0" applyBorder="1" applyAlignment="1">
      <alignment horizontal="left"/>
    </xf>
    <xf numFmtId="164" fontId="0" fillId="0" borderId="17" xfId="1" applyFont="1" applyBorder="1" applyProtection="1"/>
    <xf numFmtId="0" fontId="0" fillId="0" borderId="16" xfId="0" applyBorder="1" applyAlignment="1">
      <alignment horizontal="left"/>
    </xf>
    <xf numFmtId="166" fontId="0" fillId="0" borderId="17" xfId="0" applyNumberFormat="1" applyBorder="1"/>
    <xf numFmtId="0" fontId="0" fillId="0" borderId="11" xfId="0" applyBorder="1" applyAlignment="1">
      <alignment horizontal="left"/>
    </xf>
    <xf numFmtId="167" fontId="0" fillId="0" borderId="7" xfId="0" applyNumberFormat="1" applyBorder="1"/>
    <xf numFmtId="165" fontId="0" fillId="0" borderId="7" xfId="0" applyNumberFormat="1" applyBorder="1"/>
    <xf numFmtId="164" fontId="0" fillId="0" borderId="7" xfId="1" applyFont="1" applyBorder="1" applyProtection="1"/>
    <xf numFmtId="166" fontId="0" fillId="0" borderId="7" xfId="1" applyNumberFormat="1" applyFont="1" applyBorder="1" applyProtection="1"/>
    <xf numFmtId="166" fontId="0" fillId="0" borderId="16" xfId="1" applyNumberFormat="1" applyFont="1" applyBorder="1" applyProtection="1"/>
    <xf numFmtId="0" fontId="0" fillId="0" borderId="19" xfId="0" applyBorder="1"/>
    <xf numFmtId="0" fontId="0" fillId="0" borderId="20" xfId="0" applyBorder="1"/>
    <xf numFmtId="165" fontId="0" fillId="2" borderId="17" xfId="0" applyNumberFormat="1" applyFill="1" applyBorder="1" applyProtection="1">
      <protection locked="0"/>
    </xf>
    <xf numFmtId="164" fontId="0" fillId="2" borderId="17" xfId="1" applyFont="1" applyFill="1" applyBorder="1" applyProtection="1">
      <protection locked="0"/>
    </xf>
    <xf numFmtId="167" fontId="0" fillId="0" borderId="17" xfId="0" applyNumberFormat="1" applyBorder="1"/>
    <xf numFmtId="166" fontId="0" fillId="2" borderId="17" xfId="1" applyNumberFormat="1" applyFon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66" fontId="3" fillId="0" borderId="24" xfId="0" applyNumberFormat="1" applyFont="1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5" fontId="0" fillId="0" borderId="32" xfId="0" applyNumberFormat="1" applyBorder="1"/>
    <xf numFmtId="0" fontId="0" fillId="0" borderId="32" xfId="0" applyBorder="1"/>
    <xf numFmtId="166" fontId="0" fillId="0" borderId="32" xfId="1" applyNumberFormat="1" applyFont="1" applyBorder="1" applyProtection="1"/>
    <xf numFmtId="0" fontId="0" fillId="0" borderId="33" xfId="0" applyBorder="1"/>
    <xf numFmtId="166" fontId="0" fillId="0" borderId="17" xfId="1" applyNumberFormat="1" applyFont="1" applyBorder="1" applyAlignment="1" applyProtection="1"/>
    <xf numFmtId="164" fontId="0" fillId="0" borderId="17" xfId="0" applyNumberFormat="1" applyBorder="1"/>
    <xf numFmtId="166" fontId="0" fillId="0" borderId="17" xfId="1" applyNumberFormat="1" applyFont="1" applyFill="1" applyBorder="1" applyProtection="1"/>
    <xf numFmtId="166" fontId="0" fillId="2" borderId="21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0" borderId="17" xfId="1" applyNumberFormat="1" applyFont="1" applyBorder="1" applyProtection="1"/>
    <xf numFmtId="0" fontId="0" fillId="0" borderId="17" xfId="0" applyBorder="1" applyProtection="1">
      <protection locked="0"/>
    </xf>
    <xf numFmtId="166" fontId="0" fillId="0" borderId="21" xfId="1" applyNumberFormat="1" applyFont="1" applyBorder="1" applyProtection="1"/>
    <xf numFmtId="166" fontId="3" fillId="0" borderId="0" xfId="0" applyNumberFormat="1" applyFont="1"/>
    <xf numFmtId="166" fontId="3" fillId="0" borderId="1" xfId="0" applyNumberFormat="1" applyFont="1" applyBorder="1"/>
    <xf numFmtId="3" fontId="0" fillId="0" borderId="17" xfId="0" applyNumberFormat="1" applyBorder="1"/>
    <xf numFmtId="0" fontId="0" fillId="0" borderId="0" xfId="0" applyAlignment="1">
      <alignment horizontal="center" vertical="top" wrapText="1"/>
    </xf>
    <xf numFmtId="0" fontId="0" fillId="0" borderId="8" xfId="0" applyBorder="1"/>
    <xf numFmtId="0" fontId="5" fillId="0" borderId="0" xfId="0" applyFont="1"/>
    <xf numFmtId="166" fontId="0" fillId="0" borderId="17" xfId="1" applyNumberFormat="1" applyFont="1" applyBorder="1" applyProtection="1"/>
    <xf numFmtId="165" fontId="0" fillId="0" borderId="17" xfId="0" applyNumberFormat="1" applyBorder="1"/>
    <xf numFmtId="0" fontId="4" fillId="0" borderId="0" xfId="0" applyFont="1" applyAlignment="1">
      <alignment horizontal="center" vertical="top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169" fontId="0" fillId="0" borderId="13" xfId="0" applyNumberFormat="1" applyBorder="1" applyAlignment="1">
      <alignment horizontal="center"/>
    </xf>
    <xf numFmtId="169" fontId="0" fillId="0" borderId="14" xfId="0" applyNumberFormat="1" applyBorder="1" applyAlignment="1">
      <alignment horizontal="center"/>
    </xf>
    <xf numFmtId="0" fontId="0" fillId="0" borderId="0" xfId="0" applyAlignment="1">
      <alignment horizontal="center" vertical="top" wrapText="1"/>
    </xf>
    <xf numFmtId="169" fontId="0" fillId="0" borderId="9" xfId="0" applyNumberFormat="1" applyBorder="1" applyAlignment="1">
      <alignment horizontal="center"/>
    </xf>
    <xf numFmtId="169" fontId="0" fillId="0" borderId="10" xfId="0" applyNumberFormat="1" applyBorder="1" applyAlignment="1">
      <alignment horizontal="center"/>
    </xf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5"/>
  <sheetViews>
    <sheetView showGridLines="0" tabSelected="1" workbookViewId="0">
      <selection activeCell="W47" sqref="W47"/>
    </sheetView>
  </sheetViews>
  <sheetFormatPr defaultRowHeight="15" x14ac:dyDescent="0.25"/>
  <cols>
    <col min="1" max="1" width="2" customWidth="1"/>
    <col min="2" max="2" width="59.85546875" bestFit="1" customWidth="1"/>
    <col min="3" max="3" width="9" bestFit="1" customWidth="1"/>
    <col min="4" max="4" width="8" bestFit="1" customWidth="1"/>
    <col min="5" max="5" width="4.5703125" bestFit="1" customWidth="1"/>
    <col min="6" max="6" width="4.85546875" bestFit="1" customWidth="1"/>
    <col min="7" max="7" width="2" bestFit="1" customWidth="1"/>
    <col min="8" max="8" width="7.42578125" bestFit="1" customWidth="1"/>
    <col min="9" max="9" width="11.5703125" bestFit="1" customWidth="1"/>
    <col min="10" max="10" width="10.7109375" bestFit="1" customWidth="1"/>
    <col min="11" max="11" width="6" bestFit="1" customWidth="1"/>
    <col min="12" max="12" width="3.5703125" customWidth="1"/>
    <col min="13" max="13" width="57.7109375" bestFit="1" customWidth="1"/>
    <col min="14" max="14" width="8.42578125" bestFit="1" customWidth="1"/>
    <col min="15" max="15" width="8" bestFit="1" customWidth="1"/>
    <col min="16" max="16" width="3" bestFit="1" customWidth="1"/>
    <col min="17" max="17" width="5.140625" bestFit="1" customWidth="1"/>
    <col min="18" max="18" width="2" bestFit="1" customWidth="1"/>
    <col min="19" max="19" width="7.42578125" customWidth="1"/>
    <col min="20" max="20" width="11.5703125" bestFit="1" customWidth="1"/>
    <col min="21" max="21" width="7.42578125" bestFit="1" customWidth="1"/>
    <col min="22" max="22" width="6" bestFit="1" customWidth="1"/>
  </cols>
  <sheetData>
    <row r="1" spans="2:22" ht="23.25" x14ac:dyDescent="0.25">
      <c r="B1" s="75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2:22" x14ac:dyDescent="0.25">
      <c r="B2" s="87" t="s">
        <v>46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2:22" x14ac:dyDescent="0.25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1" t="s">
        <v>42</v>
      </c>
      <c r="U3" s="88">
        <v>46007</v>
      </c>
      <c r="V3" s="89"/>
    </row>
    <row r="4" spans="2:22" x14ac:dyDescent="0.25">
      <c r="B4" s="76" t="s">
        <v>43</v>
      </c>
      <c r="C4" s="77"/>
      <c r="D4" s="77"/>
      <c r="E4" s="77"/>
      <c r="F4" s="77"/>
      <c r="G4" s="77"/>
      <c r="H4" s="77"/>
      <c r="I4" s="77"/>
      <c r="J4" s="77"/>
      <c r="K4" s="78"/>
      <c r="M4" s="76" t="s">
        <v>28</v>
      </c>
      <c r="N4" s="77"/>
      <c r="O4" s="77"/>
      <c r="P4" s="77"/>
      <c r="Q4" s="77"/>
      <c r="R4" s="77"/>
      <c r="S4" s="77"/>
      <c r="T4" s="77"/>
      <c r="U4" s="77"/>
      <c r="V4" s="78"/>
    </row>
    <row r="5" spans="2:22" ht="17.25" x14ac:dyDescent="0.25">
      <c r="B5" s="15" t="s">
        <v>44</v>
      </c>
      <c r="C5" s="14">
        <v>125</v>
      </c>
      <c r="D5" s="13" t="s">
        <v>3</v>
      </c>
      <c r="E5" s="13"/>
      <c r="F5" s="13"/>
      <c r="G5" s="13"/>
      <c r="H5" s="13"/>
      <c r="I5" s="13"/>
      <c r="J5" s="13"/>
      <c r="K5" s="16"/>
      <c r="M5" s="15" t="s">
        <v>2</v>
      </c>
      <c r="N5" s="14">
        <v>125</v>
      </c>
      <c r="O5" s="13" t="s">
        <v>3</v>
      </c>
      <c r="P5" s="13"/>
      <c r="Q5" s="13"/>
      <c r="R5" s="13"/>
      <c r="S5" s="13"/>
      <c r="T5" s="13"/>
      <c r="U5" s="85"/>
      <c r="V5" s="86"/>
    </row>
    <row r="6" spans="2:22" ht="17.25" x14ac:dyDescent="0.25">
      <c r="B6" s="15" t="s">
        <v>45</v>
      </c>
      <c r="C6" s="63">
        <v>13.4</v>
      </c>
      <c r="D6" s="13" t="s">
        <v>1</v>
      </c>
      <c r="E6" s="13"/>
      <c r="F6" s="13"/>
      <c r="G6" s="13"/>
      <c r="H6" s="13"/>
      <c r="I6" s="13"/>
      <c r="J6" s="13"/>
      <c r="K6" s="16"/>
      <c r="M6" s="15" t="s">
        <v>56</v>
      </c>
      <c r="N6" s="63">
        <v>25</v>
      </c>
      <c r="O6" s="13" t="s">
        <v>30</v>
      </c>
      <c r="P6" s="13"/>
      <c r="Q6" s="13"/>
      <c r="R6" s="13"/>
      <c r="S6" s="13"/>
      <c r="T6" s="13"/>
      <c r="U6" s="13"/>
      <c r="V6" s="16"/>
    </row>
    <row r="7" spans="2:22" x14ac:dyDescent="0.25">
      <c r="B7" s="15" t="s">
        <v>38</v>
      </c>
      <c r="C7" s="14">
        <v>125000</v>
      </c>
      <c r="D7" s="13" t="s">
        <v>55</v>
      </c>
      <c r="E7" s="13"/>
      <c r="F7" s="13"/>
      <c r="G7" s="13"/>
      <c r="H7" s="13"/>
      <c r="I7" s="13"/>
      <c r="J7" s="13"/>
      <c r="K7" s="16"/>
      <c r="M7" s="15" t="s">
        <v>38</v>
      </c>
      <c r="N7" s="14">
        <v>125000</v>
      </c>
      <c r="O7" s="13" t="s">
        <v>55</v>
      </c>
      <c r="P7" s="13"/>
      <c r="Q7" s="13"/>
      <c r="R7" s="13"/>
      <c r="S7" s="13"/>
      <c r="T7" s="13"/>
      <c r="U7" s="13"/>
      <c r="V7" s="16"/>
    </row>
    <row r="8" spans="2:22" x14ac:dyDescent="0.25">
      <c r="B8" s="15" t="s">
        <v>39</v>
      </c>
      <c r="C8" s="17">
        <v>0.04</v>
      </c>
      <c r="D8" s="13"/>
      <c r="E8" s="13"/>
      <c r="F8" s="13"/>
      <c r="G8" s="13"/>
      <c r="H8" s="13"/>
      <c r="I8" s="13"/>
      <c r="J8" s="13"/>
      <c r="K8" s="16"/>
      <c r="M8" s="15" t="s">
        <v>39</v>
      </c>
      <c r="N8" s="17">
        <v>0.04</v>
      </c>
      <c r="O8" s="13"/>
      <c r="P8" s="13"/>
      <c r="Q8" s="13"/>
      <c r="R8" s="13"/>
      <c r="S8" s="13"/>
      <c r="T8" s="13"/>
      <c r="U8" s="13"/>
      <c r="V8" s="16"/>
    </row>
    <row r="9" spans="2:22" x14ac:dyDescent="0.25">
      <c r="B9" s="5" t="s">
        <v>54</v>
      </c>
      <c r="C9" s="12">
        <v>25</v>
      </c>
      <c r="D9" s="6" t="s">
        <v>40</v>
      </c>
      <c r="E9" s="6"/>
      <c r="F9" s="6"/>
      <c r="G9" s="6"/>
      <c r="H9" s="6"/>
      <c r="I9" s="6"/>
      <c r="J9" s="6"/>
      <c r="K9" s="7"/>
      <c r="M9" s="5" t="s">
        <v>54</v>
      </c>
      <c r="N9" s="12">
        <v>25</v>
      </c>
      <c r="O9" s="6" t="s">
        <v>40</v>
      </c>
      <c r="P9" s="6"/>
      <c r="Q9" s="6"/>
      <c r="R9" s="6"/>
      <c r="S9" s="6"/>
      <c r="T9" s="6"/>
      <c r="U9" s="6"/>
      <c r="V9" s="7"/>
    </row>
    <row r="11" spans="2:22" x14ac:dyDescent="0.25">
      <c r="B11" s="76" t="s">
        <v>7</v>
      </c>
      <c r="C11" s="77"/>
      <c r="D11" s="77"/>
      <c r="E11" s="77"/>
      <c r="F11" s="77"/>
      <c r="G11" s="77"/>
      <c r="H11" s="77"/>
      <c r="I11" s="77"/>
      <c r="J11" s="77"/>
      <c r="K11" s="78"/>
      <c r="M11" s="79" t="s">
        <v>13</v>
      </c>
      <c r="N11" s="80"/>
      <c r="O11" s="80"/>
      <c r="P11" s="80"/>
      <c r="Q11" s="80"/>
      <c r="R11" s="80"/>
      <c r="S11" s="80"/>
      <c r="T11" s="80"/>
      <c r="U11" s="80"/>
      <c r="V11" s="81"/>
    </row>
    <row r="12" spans="2:22" x14ac:dyDescent="0.25">
      <c r="B12" s="18" t="s">
        <v>32</v>
      </c>
      <c r="C12" s="19">
        <f>C6</f>
        <v>13.4</v>
      </c>
      <c r="D12" s="20" t="s">
        <v>1</v>
      </c>
      <c r="E12" s="21"/>
      <c r="F12" s="21"/>
      <c r="G12" s="21" t="s">
        <v>8</v>
      </c>
      <c r="H12" s="22">
        <v>45</v>
      </c>
      <c r="I12" s="21" t="s">
        <v>9</v>
      </c>
      <c r="J12" s="22">
        <f>H12*C12</f>
        <v>603</v>
      </c>
      <c r="K12" s="23" t="s">
        <v>10</v>
      </c>
      <c r="M12" s="18" t="s">
        <v>33</v>
      </c>
      <c r="N12" s="20">
        <v>11</v>
      </c>
      <c r="O12" s="20" t="s">
        <v>1</v>
      </c>
      <c r="P12" s="21"/>
      <c r="Q12" s="21"/>
      <c r="R12" s="21" t="s">
        <v>8</v>
      </c>
      <c r="S12" s="22">
        <v>45</v>
      </c>
      <c r="T12" s="21" t="s">
        <v>9</v>
      </c>
      <c r="U12" s="22">
        <f>S12*N12</f>
        <v>495</v>
      </c>
      <c r="V12" s="23" t="s">
        <v>10</v>
      </c>
    </row>
    <row r="13" spans="2:22" ht="17.25" x14ac:dyDescent="0.25">
      <c r="B13" s="24" t="s">
        <v>4</v>
      </c>
      <c r="C13" s="25" t="s">
        <v>5</v>
      </c>
      <c r="D13" s="26" t="s">
        <v>3</v>
      </c>
      <c r="E13" s="25">
        <f>IF(C5&lt;70,70,70)</f>
        <v>70</v>
      </c>
      <c r="F13" s="25" t="s">
        <v>3</v>
      </c>
      <c r="G13" s="25" t="s">
        <v>8</v>
      </c>
      <c r="H13" s="64">
        <v>0</v>
      </c>
      <c r="I13" s="25" t="s">
        <v>11</v>
      </c>
      <c r="J13" s="27">
        <v>0</v>
      </c>
      <c r="K13" s="28" t="s">
        <v>10</v>
      </c>
      <c r="M13" s="24" t="str">
        <f>B13</f>
        <v>Effektbidrag</v>
      </c>
      <c r="N13" s="25" t="str">
        <f>C13</f>
        <v>0-70</v>
      </c>
      <c r="O13" s="26" t="str">
        <f>D13</f>
        <v>[m2]</v>
      </c>
      <c r="P13" s="25">
        <f>IF(N5&lt;70,70,70)</f>
        <v>70</v>
      </c>
      <c r="Q13" s="25" t="str">
        <f>F13</f>
        <v>[m2]</v>
      </c>
      <c r="R13" s="25" t="s">
        <v>8</v>
      </c>
      <c r="S13" s="64">
        <v>6.4</v>
      </c>
      <c r="T13" s="25" t="s">
        <v>11</v>
      </c>
      <c r="U13" s="27"/>
      <c r="V13" s="28" t="s">
        <v>10</v>
      </c>
    </row>
    <row r="14" spans="2:22" ht="17.25" x14ac:dyDescent="0.25">
      <c r="B14" s="24"/>
      <c r="C14" s="25" t="s">
        <v>6</v>
      </c>
      <c r="D14" s="26" t="s">
        <v>3</v>
      </c>
      <c r="E14" s="25">
        <f>IF(C5&lt;70,0,IF(C5&lt;100,(C5-70),(C5-70-(C5-100))))</f>
        <v>30</v>
      </c>
      <c r="F14" s="25" t="s">
        <v>3</v>
      </c>
      <c r="G14" s="25" t="s">
        <v>8</v>
      </c>
      <c r="H14" s="64">
        <v>12.8</v>
      </c>
      <c r="I14" s="25" t="s">
        <v>11</v>
      </c>
      <c r="J14" s="27">
        <f>H14*E14</f>
        <v>384</v>
      </c>
      <c r="K14" s="28" t="s">
        <v>10</v>
      </c>
      <c r="M14" s="24"/>
      <c r="N14" s="25" t="str">
        <f t="shared" ref="N14:O16" si="0">C14</f>
        <v>70-100</v>
      </c>
      <c r="O14" s="26" t="str">
        <f t="shared" si="0"/>
        <v>[m2]</v>
      </c>
      <c r="P14" s="25">
        <f>IF(N5&lt;70,0,IF(N5&lt;100,(N5-70),(N5-70-(N5-100))))</f>
        <v>30</v>
      </c>
      <c r="Q14" s="25" t="str">
        <f>F14</f>
        <v>[m2]</v>
      </c>
      <c r="R14" s="25" t="s">
        <v>8</v>
      </c>
      <c r="S14" s="64">
        <v>6.4</v>
      </c>
      <c r="T14" s="25" t="s">
        <v>11</v>
      </c>
      <c r="U14" s="27">
        <f>S14*P14</f>
        <v>192</v>
      </c>
      <c r="V14" s="28" t="s">
        <v>10</v>
      </c>
    </row>
    <row r="15" spans="2:22" ht="17.25" x14ac:dyDescent="0.25">
      <c r="B15" s="24"/>
      <c r="C15" s="25" t="s">
        <v>57</v>
      </c>
      <c r="D15" s="26" t="s">
        <v>3</v>
      </c>
      <c r="E15" s="25">
        <f>IF(C5&lt;100,0,IF(C5&lt;150,(C5-100),(C5-100-(C5-150))))</f>
        <v>25</v>
      </c>
      <c r="F15" s="25" t="s">
        <v>3</v>
      </c>
      <c r="G15" s="25" t="s">
        <v>8</v>
      </c>
      <c r="H15" s="64">
        <v>12.8</v>
      </c>
      <c r="I15" s="25" t="s">
        <v>11</v>
      </c>
      <c r="J15" s="27">
        <f>H15*E15</f>
        <v>320</v>
      </c>
      <c r="K15" s="28" t="s">
        <v>10</v>
      </c>
      <c r="M15" s="24"/>
      <c r="N15" s="25" t="str">
        <f t="shared" si="0"/>
        <v>101-150</v>
      </c>
      <c r="O15" s="26" t="str">
        <f t="shared" si="0"/>
        <v>[m2]</v>
      </c>
      <c r="P15" s="25">
        <f>IF(N5&lt;100,0,IF(N5&lt;150,(N5-100),(N5-100-(N5-150))))</f>
        <v>25</v>
      </c>
      <c r="Q15" s="25" t="str">
        <f>F15</f>
        <v>[m2]</v>
      </c>
      <c r="R15" s="25" t="s">
        <v>8</v>
      </c>
      <c r="S15" s="64">
        <v>6.4</v>
      </c>
      <c r="T15" s="25" t="s">
        <v>11</v>
      </c>
      <c r="U15" s="27">
        <f>S15*P15</f>
        <v>160</v>
      </c>
      <c r="V15" s="28" t="s">
        <v>10</v>
      </c>
    </row>
    <row r="16" spans="2:22" ht="17.25" x14ac:dyDescent="0.25">
      <c r="B16" s="24"/>
      <c r="C16" s="25" t="s">
        <v>58</v>
      </c>
      <c r="D16" s="26" t="s">
        <v>3</v>
      </c>
      <c r="E16" s="25">
        <f>IF(C5&lt;150,0,C5-150)</f>
        <v>0</v>
      </c>
      <c r="F16" s="25" t="s">
        <v>3</v>
      </c>
      <c r="G16" s="25" t="s">
        <v>8</v>
      </c>
      <c r="H16" s="64">
        <v>12.8</v>
      </c>
      <c r="I16" s="25" t="s">
        <v>11</v>
      </c>
      <c r="J16" s="27">
        <f>H16*E16</f>
        <v>0</v>
      </c>
      <c r="K16" s="28" t="s">
        <v>10</v>
      </c>
      <c r="M16" s="24"/>
      <c r="N16" s="25" t="str">
        <f t="shared" si="0"/>
        <v>151-x</v>
      </c>
      <c r="O16" s="26" t="str">
        <f t="shared" si="0"/>
        <v>[m2]</v>
      </c>
      <c r="P16" s="25">
        <f>IF(N5&lt;150,0,N5-150)</f>
        <v>0</v>
      </c>
      <c r="Q16" s="25" t="str">
        <f>F16</f>
        <v>[m2]</v>
      </c>
      <c r="R16" s="25" t="s">
        <v>8</v>
      </c>
      <c r="S16" s="64">
        <v>6.4</v>
      </c>
      <c r="T16" s="25" t="s">
        <v>11</v>
      </c>
      <c r="U16" s="27">
        <f>S16*P16</f>
        <v>0</v>
      </c>
      <c r="V16" s="28" t="s">
        <v>10</v>
      </c>
    </row>
    <row r="17" spans="2:23" x14ac:dyDescent="0.25">
      <c r="B17" s="24" t="s">
        <v>53</v>
      </c>
      <c r="C17" s="25"/>
      <c r="D17" s="26"/>
      <c r="E17" s="29">
        <v>35</v>
      </c>
      <c r="F17" s="25" t="s">
        <v>51</v>
      </c>
      <c r="G17" s="25" t="s">
        <v>8</v>
      </c>
      <c r="H17" s="27">
        <v>800</v>
      </c>
      <c r="I17" s="25" t="s">
        <v>52</v>
      </c>
      <c r="J17" s="66">
        <f>-PMT(C8,C9,(E17*H17),0,1)</f>
        <v>1723.3989980968549</v>
      </c>
      <c r="K17" s="28" t="s">
        <v>10</v>
      </c>
      <c r="M17" s="24" t="s">
        <v>53</v>
      </c>
      <c r="N17" s="25"/>
      <c r="O17" s="26"/>
      <c r="P17" s="29">
        <v>35</v>
      </c>
      <c r="Q17" s="25" t="s">
        <v>51</v>
      </c>
      <c r="R17" s="25" t="s">
        <v>8</v>
      </c>
      <c r="S17" s="27">
        <v>800</v>
      </c>
      <c r="T17" s="25" t="s">
        <v>52</v>
      </c>
      <c r="U17" s="66">
        <f>-PMT(N8,N9,(P17*S17),0,1)</f>
        <v>1723.3989980968549</v>
      </c>
      <c r="V17" s="28" t="s">
        <v>10</v>
      </c>
    </row>
    <row r="18" spans="2:23" x14ac:dyDescent="0.25">
      <c r="B18" s="24" t="s">
        <v>59</v>
      </c>
      <c r="C18" s="25"/>
      <c r="D18" s="26"/>
      <c r="E18" s="65"/>
      <c r="F18" s="25"/>
      <c r="G18" s="25"/>
      <c r="H18" s="27">
        <v>20000</v>
      </c>
      <c r="I18" s="25" t="s">
        <v>10</v>
      </c>
      <c r="J18" s="10">
        <f>-PMT(C8,C9,(H18),0,1)</f>
        <v>1230.9992843548964</v>
      </c>
      <c r="K18" s="28" t="s">
        <v>10</v>
      </c>
      <c r="M18" s="24" t="s">
        <v>59</v>
      </c>
      <c r="N18" s="25"/>
      <c r="O18" s="26"/>
      <c r="P18" s="65"/>
      <c r="Q18" s="25"/>
      <c r="R18" s="25"/>
      <c r="S18" s="27">
        <v>20000</v>
      </c>
      <c r="T18" s="25" t="s">
        <v>10</v>
      </c>
      <c r="U18" s="10">
        <f>-PMT(N8,N9,(S18),0,1)</f>
        <v>1230.9992843548964</v>
      </c>
      <c r="V18" s="28" t="s">
        <v>10</v>
      </c>
    </row>
    <row r="19" spans="2:23" ht="17.25" x14ac:dyDescent="0.25">
      <c r="B19" s="24" t="s">
        <v>16</v>
      </c>
      <c r="C19" s="25"/>
      <c r="D19" s="25"/>
      <c r="E19" s="25"/>
      <c r="F19" s="25"/>
      <c r="G19" s="25"/>
      <c r="H19" s="69">
        <v>1200</v>
      </c>
      <c r="I19" s="25" t="s">
        <v>10</v>
      </c>
      <c r="J19" s="10">
        <f>1200-(70*(H13-H13))</f>
        <v>1200</v>
      </c>
      <c r="K19" s="28" t="s">
        <v>10</v>
      </c>
      <c r="M19" s="24" t="str">
        <f>B19</f>
        <v>Abonnementsbidrag (inkl. de første 70 m2 effektbidrag)</v>
      </c>
      <c r="N19" s="25"/>
      <c r="O19" s="25"/>
      <c r="P19" s="25"/>
      <c r="Q19" s="25"/>
      <c r="R19" s="25"/>
      <c r="S19" s="69">
        <v>600</v>
      </c>
      <c r="T19" s="25" t="s">
        <v>10</v>
      </c>
      <c r="U19" s="10">
        <f>600-(70*(H13-S13))</f>
        <v>1048</v>
      </c>
      <c r="V19" s="2" t="s">
        <v>10</v>
      </c>
    </row>
    <row r="20" spans="2:23" x14ac:dyDescent="0.25">
      <c r="B20" s="15" t="s">
        <v>14</v>
      </c>
      <c r="C20" s="13"/>
      <c r="D20" s="13"/>
      <c r="E20" s="13"/>
      <c r="F20" s="13"/>
      <c r="G20" s="13"/>
      <c r="H20" s="13"/>
      <c r="I20" s="13"/>
      <c r="J20" s="22">
        <f>SUM(J12:J19)</f>
        <v>5461.3982824517516</v>
      </c>
      <c r="K20" s="16" t="s">
        <v>10</v>
      </c>
      <c r="M20" s="15" t="str">
        <f>B20</f>
        <v>I alt (ekskl. moms)</v>
      </c>
      <c r="N20" s="13"/>
      <c r="O20" s="13"/>
      <c r="P20" s="13"/>
      <c r="Q20" s="13"/>
      <c r="R20" s="13"/>
      <c r="S20" s="13"/>
      <c r="T20" s="13"/>
      <c r="U20" s="22">
        <f>SUM(U12:U19)</f>
        <v>4849.3982824517516</v>
      </c>
      <c r="V20" s="28" t="s">
        <v>10</v>
      </c>
    </row>
    <row r="21" spans="2:23" x14ac:dyDescent="0.25">
      <c r="B21" s="24" t="s">
        <v>12</v>
      </c>
      <c r="C21" s="25"/>
      <c r="D21" s="25"/>
      <c r="E21" s="25"/>
      <c r="F21" s="25"/>
      <c r="G21" s="25"/>
      <c r="H21" s="25"/>
      <c r="I21" s="25"/>
      <c r="J21" s="4">
        <f>J20*0.25</f>
        <v>1365.3495706129379</v>
      </c>
      <c r="K21" s="2" t="s">
        <v>10</v>
      </c>
      <c r="M21" s="24" t="str">
        <f>B21</f>
        <v>Moms 25 %</v>
      </c>
      <c r="N21" s="25"/>
      <c r="O21" s="25"/>
      <c r="P21" s="25"/>
      <c r="Q21" s="25"/>
      <c r="R21" s="25"/>
      <c r="S21" s="25"/>
      <c r="T21" s="25"/>
      <c r="U21" s="4">
        <f>U20*0.25</f>
        <v>1212.3495706129379</v>
      </c>
      <c r="V21" s="28" t="s">
        <v>10</v>
      </c>
    </row>
    <row r="22" spans="2:23" ht="3" customHeight="1" thickBot="1" x14ac:dyDescent="0.3">
      <c r="B22" s="41" t="s">
        <v>15</v>
      </c>
      <c r="C22" s="46"/>
      <c r="D22" s="46"/>
      <c r="E22" s="46"/>
      <c r="F22" s="46"/>
      <c r="G22" s="46"/>
      <c r="H22" s="46"/>
      <c r="I22" s="46"/>
      <c r="J22" s="9">
        <f>J21+J20</f>
        <v>6826.7478530646895</v>
      </c>
      <c r="K22" s="40" t="s">
        <v>10</v>
      </c>
      <c r="M22" s="1"/>
      <c r="U22" s="67">
        <f>U21+U20</f>
        <v>6061.7478530646895</v>
      </c>
      <c r="V22" s="2" t="s">
        <v>10</v>
      </c>
    </row>
    <row r="23" spans="2:23" ht="16.5" thickTop="1" thickBot="1" x14ac:dyDescent="0.3">
      <c r="B23" s="41" t="s">
        <v>15</v>
      </c>
      <c r="J23" s="9">
        <f>J22+J21</f>
        <v>8192.0974236776274</v>
      </c>
      <c r="K23" s="40" t="s">
        <v>10</v>
      </c>
      <c r="M23" s="41" t="s">
        <v>15</v>
      </c>
      <c r="U23" s="9">
        <f>U22+U21</f>
        <v>7274.0974236776274</v>
      </c>
      <c r="V23" s="40" t="s">
        <v>10</v>
      </c>
    </row>
    <row r="24" spans="2:23" ht="15.75" thickTop="1" x14ac:dyDescent="0.25">
      <c r="B24" s="5"/>
      <c r="C24" s="6"/>
      <c r="D24" s="6"/>
      <c r="E24" s="6"/>
      <c r="F24" s="6"/>
      <c r="G24" s="6"/>
      <c r="H24" s="6"/>
      <c r="I24" s="6"/>
      <c r="J24" s="68"/>
      <c r="K24" s="7"/>
      <c r="M24" s="5"/>
      <c r="N24" s="6"/>
      <c r="O24" s="6"/>
      <c r="P24" s="6"/>
      <c r="Q24" s="6"/>
      <c r="R24" s="6"/>
      <c r="S24" s="6"/>
      <c r="T24" s="6"/>
      <c r="U24" s="68"/>
      <c r="V24" s="7"/>
    </row>
    <row r="25" spans="2:23" x14ac:dyDescent="0.25">
      <c r="B25" s="6"/>
    </row>
    <row r="26" spans="2:23" x14ac:dyDescent="0.25">
      <c r="B26" s="76" t="s">
        <v>17</v>
      </c>
      <c r="C26" s="77"/>
      <c r="D26" s="77"/>
      <c r="E26" s="77"/>
      <c r="F26" s="77"/>
      <c r="G26" s="77"/>
      <c r="H26" s="77"/>
      <c r="I26" s="77"/>
      <c r="J26" s="77"/>
      <c r="K26" s="78"/>
      <c r="M26" s="82" t="s">
        <v>27</v>
      </c>
      <c r="N26" s="83"/>
      <c r="O26" s="83"/>
      <c r="P26" s="83"/>
      <c r="Q26" s="83"/>
      <c r="R26" s="83"/>
      <c r="S26" s="83"/>
      <c r="T26" s="83"/>
      <c r="U26" s="83"/>
      <c r="V26" s="84"/>
    </row>
    <row r="27" spans="2:23" x14ac:dyDescent="0.25">
      <c r="B27" s="30" t="str">
        <f>B12</f>
        <v>Varmeforbrug standardhus</v>
      </c>
      <c r="C27" s="20">
        <f>C12</f>
        <v>13.4</v>
      </c>
      <c r="D27" s="20" t="str">
        <f>D12</f>
        <v>[MWh]</v>
      </c>
      <c r="E27" s="20"/>
      <c r="F27" s="21"/>
      <c r="G27" s="21"/>
      <c r="H27" s="21"/>
      <c r="I27" s="21"/>
      <c r="J27" s="21"/>
      <c r="K27" s="23"/>
      <c r="M27" s="54" t="str">
        <f>M12</f>
        <v>Varmeforbrug lavenergihus</v>
      </c>
      <c r="N27" s="55">
        <f>N12</f>
        <v>11</v>
      </c>
      <c r="O27" s="55" t="s">
        <v>1</v>
      </c>
      <c r="P27" s="56"/>
      <c r="Q27" s="56"/>
      <c r="R27" s="56"/>
      <c r="S27" s="57"/>
      <c r="T27" s="56"/>
      <c r="U27" s="57"/>
      <c r="V27" s="58"/>
    </row>
    <row r="28" spans="2:23" x14ac:dyDescent="0.25">
      <c r="B28" s="32"/>
      <c r="C28" s="8"/>
      <c r="D28" s="26"/>
      <c r="E28" s="25"/>
      <c r="F28" s="25"/>
      <c r="G28" s="25"/>
      <c r="H28" s="31"/>
      <c r="I28" s="25"/>
      <c r="J28" s="27"/>
      <c r="K28" s="28"/>
      <c r="M28" s="24" t="s">
        <v>31</v>
      </c>
      <c r="N28" s="42">
        <v>3.5</v>
      </c>
      <c r="O28" s="26" t="s">
        <v>22</v>
      </c>
      <c r="P28" s="25"/>
      <c r="Q28" s="25"/>
      <c r="R28" s="25"/>
      <c r="S28" s="25"/>
      <c r="T28" s="25"/>
      <c r="U28" s="33"/>
      <c r="V28" s="28"/>
    </row>
    <row r="29" spans="2:23" x14ac:dyDescent="0.25">
      <c r="B29" s="32" t="s">
        <v>62</v>
      </c>
      <c r="C29" s="43">
        <v>247</v>
      </c>
      <c r="D29" s="74" t="s">
        <v>49</v>
      </c>
      <c r="E29" s="74"/>
      <c r="F29" s="74"/>
      <c r="G29" s="74"/>
      <c r="H29" s="74"/>
      <c r="I29" s="25"/>
      <c r="J29" s="33"/>
      <c r="K29" s="28"/>
      <c r="M29" s="32" t="s">
        <v>60</v>
      </c>
      <c r="N29" s="43">
        <v>247</v>
      </c>
      <c r="O29" s="74" t="s">
        <v>49</v>
      </c>
      <c r="P29" s="74"/>
      <c r="Q29" s="74"/>
      <c r="R29" s="74"/>
      <c r="S29" s="74"/>
      <c r="T29" s="25"/>
      <c r="U29" s="33"/>
      <c r="V29" s="28"/>
    </row>
    <row r="30" spans="2:23" x14ac:dyDescent="0.25">
      <c r="B30" s="34" t="s">
        <v>34</v>
      </c>
      <c r="C30" s="35">
        <f>C27*1000</f>
        <v>13400</v>
      </c>
      <c r="D30" s="36" t="s">
        <v>35</v>
      </c>
      <c r="E30" s="13"/>
      <c r="F30" s="13"/>
      <c r="G30" s="13" t="s">
        <v>8</v>
      </c>
      <c r="H30" s="37">
        <f>C29/1.25</f>
        <v>197.6</v>
      </c>
      <c r="I30" s="13" t="s">
        <v>36</v>
      </c>
      <c r="J30" s="38">
        <f>H30*C30/100</f>
        <v>26478.400000000001</v>
      </c>
      <c r="K30" s="16" t="s">
        <v>10</v>
      </c>
      <c r="M30" s="24" t="s">
        <v>34</v>
      </c>
      <c r="N30">
        <f>N27/N28*1000</f>
        <v>3142.8571428571427</v>
      </c>
      <c r="O30" t="s">
        <v>35</v>
      </c>
      <c r="R30" t="s">
        <v>8</v>
      </c>
      <c r="S30">
        <f>N29/1.25</f>
        <v>197.6</v>
      </c>
      <c r="T30" t="s">
        <v>36</v>
      </c>
      <c r="U30">
        <f>S30*N30/100</f>
        <v>6210.2857142857138</v>
      </c>
      <c r="V30" s="28" t="s">
        <v>10</v>
      </c>
      <c r="W30" s="72"/>
    </row>
    <row r="31" spans="2:23" x14ac:dyDescent="0.25">
      <c r="B31" s="32" t="s">
        <v>29</v>
      </c>
      <c r="C31" s="25"/>
      <c r="D31" s="25"/>
      <c r="E31" s="25"/>
      <c r="F31" s="25"/>
      <c r="G31" s="25"/>
      <c r="H31" s="25"/>
      <c r="I31" s="25"/>
      <c r="J31" s="33"/>
      <c r="K31" s="28"/>
      <c r="M31" s="24" t="str">
        <f>B31</f>
        <v xml:space="preserve">Reduktion af el-afgift for forbrug over </v>
      </c>
      <c r="N31" s="25"/>
      <c r="O31" s="25"/>
      <c r="P31" s="25"/>
      <c r="Q31" s="25"/>
      <c r="R31" s="25"/>
      <c r="S31" s="27"/>
      <c r="T31" s="25"/>
      <c r="U31" s="27"/>
      <c r="V31" s="28" t="s">
        <v>10</v>
      </c>
    </row>
    <row r="32" spans="2:23" x14ac:dyDescent="0.25">
      <c r="B32" s="32" t="s">
        <v>63</v>
      </c>
      <c r="C32" s="25"/>
      <c r="D32" s="25"/>
      <c r="E32" s="25"/>
      <c r="F32" s="25"/>
      <c r="G32" s="25" t="s">
        <v>8</v>
      </c>
      <c r="H32" s="31">
        <v>-72</v>
      </c>
      <c r="I32" s="25" t="s">
        <v>36</v>
      </c>
      <c r="J32" s="27">
        <f>H32/100*C30</f>
        <v>-9648</v>
      </c>
      <c r="K32" s="28" t="s">
        <v>10</v>
      </c>
      <c r="M32" s="24" t="str">
        <f>B32</f>
        <v>4.000 kWh 72 [øre/kWh] ekskl. moms</v>
      </c>
      <c r="N32" s="25"/>
      <c r="O32" s="25"/>
      <c r="P32" s="25"/>
      <c r="Q32" s="25"/>
      <c r="R32" s="25" t="s">
        <v>8</v>
      </c>
      <c r="S32" s="31">
        <f>H32</f>
        <v>-72</v>
      </c>
      <c r="T32" s="25" t="s">
        <v>36</v>
      </c>
      <c r="U32" s="27">
        <f>S32*N30/100</f>
        <v>-2262.8571428571427</v>
      </c>
      <c r="V32" s="28" t="s">
        <v>10</v>
      </c>
    </row>
    <row r="33" spans="2:23" x14ac:dyDescent="0.25">
      <c r="B33" s="39"/>
      <c r="C33" s="25"/>
      <c r="D33" s="25"/>
      <c r="E33" s="25"/>
      <c r="F33" s="25"/>
      <c r="G33" s="25"/>
      <c r="H33" s="25"/>
      <c r="I33" s="25"/>
      <c r="J33" s="33"/>
      <c r="K33" s="28"/>
      <c r="M33" s="24" t="s">
        <v>37</v>
      </c>
      <c r="N33" s="25"/>
      <c r="O33" s="25"/>
      <c r="P33" s="25"/>
      <c r="Q33" s="25"/>
      <c r="R33" s="25"/>
      <c r="S33" s="27"/>
      <c r="T33" s="25"/>
      <c r="U33" s="45">
        <v>2500</v>
      </c>
      <c r="V33" s="28" t="s">
        <v>10</v>
      </c>
    </row>
    <row r="34" spans="2:23" x14ac:dyDescent="0.25">
      <c r="B34" s="24"/>
      <c r="C34" s="25"/>
      <c r="D34" s="25"/>
      <c r="E34" s="25"/>
      <c r="F34" s="25"/>
      <c r="G34" s="25"/>
      <c r="H34" s="25"/>
      <c r="I34" s="25"/>
      <c r="J34" s="10"/>
      <c r="K34" s="2"/>
      <c r="M34" s="24" t="s">
        <v>41</v>
      </c>
      <c r="N34" s="25"/>
      <c r="O34" s="25"/>
      <c r="P34" s="25"/>
      <c r="Q34" s="25"/>
      <c r="R34" s="25"/>
      <c r="S34" s="27"/>
      <c r="T34" s="25"/>
      <c r="U34" s="10">
        <f>-PMT(N8,N9,N7,0,1)</f>
        <v>7693.7455272181023</v>
      </c>
      <c r="V34" s="2" t="s">
        <v>10</v>
      </c>
    </row>
    <row r="35" spans="2:23" x14ac:dyDescent="0.25">
      <c r="B35" s="15" t="s">
        <v>14</v>
      </c>
      <c r="C35" s="13"/>
      <c r="D35" s="13"/>
      <c r="E35" s="13"/>
      <c r="F35" s="13"/>
      <c r="G35" s="13"/>
      <c r="H35" s="13"/>
      <c r="I35" s="13"/>
      <c r="J35" s="22">
        <f>SUM(J28:J34)</f>
        <v>16830.400000000001</v>
      </c>
      <c r="K35" s="28" t="s">
        <v>10</v>
      </c>
      <c r="M35" s="15" t="s">
        <v>14</v>
      </c>
      <c r="N35" s="13"/>
      <c r="O35" s="13"/>
      <c r="P35" s="13"/>
      <c r="Q35" s="13"/>
      <c r="R35" s="13"/>
      <c r="S35" s="13"/>
      <c r="T35" s="13"/>
      <c r="U35" s="22">
        <f>SUM(U27:U34)</f>
        <v>14141.174098646672</v>
      </c>
      <c r="V35" s="28" t="s">
        <v>10</v>
      </c>
    </row>
    <row r="36" spans="2:23" ht="3" customHeight="1" x14ac:dyDescent="0.25">
      <c r="B36" s="24" t="s">
        <v>12</v>
      </c>
      <c r="C36" s="25"/>
      <c r="D36" s="25"/>
      <c r="E36" s="25"/>
      <c r="F36" s="25"/>
      <c r="G36" s="25"/>
      <c r="H36" s="25"/>
      <c r="I36" s="25"/>
      <c r="J36" s="4">
        <f>J35*0.25</f>
        <v>4207.6000000000004</v>
      </c>
      <c r="K36" s="2" t="s">
        <v>10</v>
      </c>
      <c r="L36" s="47"/>
      <c r="M36" s="24" t="s">
        <v>12</v>
      </c>
      <c r="N36" s="25"/>
      <c r="O36" s="25"/>
      <c r="P36" s="25"/>
      <c r="Q36" s="25"/>
      <c r="R36" s="25"/>
      <c r="S36" s="25"/>
      <c r="T36" s="25"/>
      <c r="U36" s="4">
        <f>U35*0.25</f>
        <v>3535.293524661668</v>
      </c>
      <c r="V36" s="2" t="s">
        <v>10</v>
      </c>
      <c r="W36" s="47"/>
    </row>
    <row r="37" spans="2:23" ht="15.75" thickBot="1" x14ac:dyDescent="0.3">
      <c r="B37" s="41" t="s">
        <v>15</v>
      </c>
      <c r="C37" s="46"/>
      <c r="D37" s="46"/>
      <c r="E37" s="46"/>
      <c r="F37" s="46"/>
      <c r="G37" s="46"/>
      <c r="H37" s="46"/>
      <c r="I37" s="46"/>
      <c r="J37" s="9">
        <f>J36+J35</f>
        <v>21038</v>
      </c>
      <c r="K37" s="40" t="s">
        <v>10</v>
      </c>
      <c r="M37" s="41" t="s">
        <v>15</v>
      </c>
      <c r="U37" s="9">
        <f>U36+U35</f>
        <v>17676.467623308341</v>
      </c>
      <c r="V37" s="40" t="s">
        <v>10</v>
      </c>
    </row>
    <row r="38" spans="2:23" ht="15.75" thickTop="1" x14ac:dyDescent="0.25">
      <c r="B38" s="48"/>
      <c r="C38" s="49"/>
      <c r="D38" s="49"/>
      <c r="E38" s="49"/>
      <c r="F38" s="49"/>
      <c r="G38" s="49"/>
      <c r="H38" s="49"/>
      <c r="I38" s="49"/>
      <c r="J38" s="50"/>
      <c r="K38" s="51"/>
      <c r="M38" s="48"/>
      <c r="N38" s="49"/>
      <c r="O38" s="49"/>
      <c r="P38" s="49"/>
      <c r="Q38" s="49"/>
      <c r="R38" s="49"/>
      <c r="S38" s="49"/>
      <c r="T38" s="49"/>
      <c r="U38" s="50"/>
      <c r="V38" s="51"/>
    </row>
    <row r="40" spans="2:23" x14ac:dyDescent="0.25">
      <c r="B40" s="76" t="s">
        <v>50</v>
      </c>
      <c r="C40" s="77"/>
      <c r="D40" s="77"/>
      <c r="E40" s="77"/>
      <c r="F40" s="77"/>
      <c r="G40" s="77"/>
      <c r="H40" s="77"/>
      <c r="I40" s="77"/>
      <c r="J40" s="77"/>
      <c r="K40" s="78"/>
    </row>
    <row r="41" spans="2:23" x14ac:dyDescent="0.25">
      <c r="B41" s="18" t="str">
        <f>B27</f>
        <v>Varmeforbrug standardhus</v>
      </c>
      <c r="C41" s="20">
        <f>C27</f>
        <v>13.4</v>
      </c>
      <c r="D41" s="20" t="s">
        <v>1</v>
      </c>
      <c r="E41" s="21"/>
      <c r="F41" s="21"/>
      <c r="G41" s="21"/>
      <c r="H41" s="22"/>
      <c r="I41" s="21"/>
      <c r="J41" s="22"/>
      <c r="K41" s="23"/>
    </row>
    <row r="42" spans="2:23" x14ac:dyDescent="0.25">
      <c r="B42" s="1" t="s">
        <v>31</v>
      </c>
      <c r="C42" s="42">
        <v>3.5</v>
      </c>
      <c r="D42" s="11" t="s">
        <v>22</v>
      </c>
      <c r="I42" s="25"/>
      <c r="J42" s="3"/>
      <c r="K42" s="28"/>
    </row>
    <row r="43" spans="2:23" x14ac:dyDescent="0.25">
      <c r="B43" s="24" t="str">
        <f>B29</f>
        <v xml:space="preserve">Pris gns. elspotpriser (2025.12.16) inkl. afgift </v>
      </c>
      <c r="C43" s="43">
        <v>247</v>
      </c>
      <c r="D43" s="74" t="s">
        <v>49</v>
      </c>
      <c r="E43" s="74"/>
      <c r="F43" s="74"/>
      <c r="G43" s="74"/>
      <c r="H43" s="74"/>
      <c r="I43" s="25"/>
      <c r="J43" s="33"/>
      <c r="K43" s="28"/>
    </row>
    <row r="44" spans="2:23" x14ac:dyDescent="0.25">
      <c r="B44" s="24" t="s">
        <v>34</v>
      </c>
      <c r="C44" s="44">
        <f>C41/C42*1000</f>
        <v>3828.5714285714289</v>
      </c>
      <c r="D44" s="26" t="s">
        <v>35</v>
      </c>
      <c r="E44" s="25"/>
      <c r="F44" s="25"/>
      <c r="G44" s="25" t="s">
        <v>8</v>
      </c>
      <c r="H44" s="31">
        <f>C43/1.25</f>
        <v>197.6</v>
      </c>
      <c r="I44" s="25" t="s">
        <v>36</v>
      </c>
      <c r="J44" s="27">
        <f>H44*C44/100</f>
        <v>7565.2571428571428</v>
      </c>
      <c r="K44" s="28" t="s">
        <v>10</v>
      </c>
    </row>
    <row r="45" spans="2:23" x14ac:dyDescent="0.25">
      <c r="B45" s="24" t="str">
        <f>B31</f>
        <v xml:space="preserve">Reduktion af el-afgift for forbrug over </v>
      </c>
      <c r="C45" s="25"/>
      <c r="D45" s="25"/>
      <c r="E45" s="25"/>
      <c r="F45" s="25"/>
      <c r="G45" s="25"/>
      <c r="H45" s="27"/>
      <c r="I45" s="25"/>
      <c r="J45" s="27"/>
      <c r="K45" s="28" t="s">
        <v>10</v>
      </c>
    </row>
    <row r="46" spans="2:23" x14ac:dyDescent="0.25">
      <c r="B46" s="24" t="str">
        <f>B32</f>
        <v>4.000 kWh 72 [øre/kWh] ekskl. moms</v>
      </c>
      <c r="C46" s="25"/>
      <c r="D46" s="25"/>
      <c r="E46" s="25"/>
      <c r="F46" s="25"/>
      <c r="G46" s="25" t="s">
        <v>8</v>
      </c>
      <c r="H46" s="31">
        <f>H32</f>
        <v>-72</v>
      </c>
      <c r="I46" s="25" t="s">
        <v>36</v>
      </c>
      <c r="J46" s="27">
        <f>H46*C44/100</f>
        <v>-2756.5714285714289</v>
      </c>
      <c r="K46" s="28" t="s">
        <v>10</v>
      </c>
    </row>
    <row r="47" spans="2:23" x14ac:dyDescent="0.25">
      <c r="B47" s="24" t="s">
        <v>37</v>
      </c>
      <c r="C47" s="25"/>
      <c r="D47" s="25"/>
      <c r="E47" s="25"/>
      <c r="F47" s="25"/>
      <c r="G47" s="25"/>
      <c r="H47" s="27"/>
      <c r="I47" s="25"/>
      <c r="J47" s="45">
        <v>2500</v>
      </c>
      <c r="K47" s="28" t="s">
        <v>10</v>
      </c>
    </row>
    <row r="48" spans="2:23" x14ac:dyDescent="0.25">
      <c r="B48" s="24" t="s">
        <v>41</v>
      </c>
      <c r="C48" s="25"/>
      <c r="D48" s="25"/>
      <c r="E48" s="25"/>
      <c r="F48" s="25"/>
      <c r="G48" s="25"/>
      <c r="H48" s="27"/>
      <c r="I48" s="25"/>
      <c r="J48" s="10">
        <f>-PMT(C8,C9,C7,0,1)</f>
        <v>7693.7455272181023</v>
      </c>
      <c r="K48" s="2" t="s">
        <v>10</v>
      </c>
    </row>
    <row r="49" spans="1:12" x14ac:dyDescent="0.25">
      <c r="B49" s="15" t="s">
        <v>14</v>
      </c>
      <c r="C49" s="13"/>
      <c r="D49" s="13"/>
      <c r="E49" s="13"/>
      <c r="F49" s="13"/>
      <c r="G49" s="13"/>
      <c r="H49" s="13"/>
      <c r="I49" s="13"/>
      <c r="J49" s="22">
        <f>SUM(J41:J48)</f>
        <v>15002.431241503815</v>
      </c>
      <c r="K49" s="28" t="s">
        <v>10</v>
      </c>
    </row>
    <row r="50" spans="1:12" ht="2.25" customHeight="1" x14ac:dyDescent="0.25">
      <c r="B50" s="24" t="s">
        <v>12</v>
      </c>
      <c r="C50" s="25"/>
      <c r="D50" s="25"/>
      <c r="E50" s="25"/>
      <c r="F50" s="25"/>
      <c r="G50" s="25"/>
      <c r="H50" s="25"/>
      <c r="I50" s="25"/>
      <c r="J50" s="4">
        <f>J49*0.25</f>
        <v>3750.6078103759537</v>
      </c>
      <c r="K50" s="2" t="s">
        <v>10</v>
      </c>
    </row>
    <row r="51" spans="1:12" ht="15.75" thickBot="1" x14ac:dyDescent="0.3">
      <c r="B51" s="41" t="s">
        <v>15</v>
      </c>
      <c r="C51" s="46"/>
      <c r="D51" s="46"/>
      <c r="E51" s="46"/>
      <c r="F51" s="46"/>
      <c r="G51" s="46"/>
      <c r="H51" s="46"/>
      <c r="I51" s="46"/>
      <c r="J51" s="9">
        <f>J50+J49</f>
        <v>18753.039051879769</v>
      </c>
      <c r="K51" s="52" t="s">
        <v>10</v>
      </c>
    </row>
    <row r="52" spans="1:12" ht="17.25" customHeight="1" thickTop="1" x14ac:dyDescent="0.25">
      <c r="B52" s="48"/>
      <c r="C52" s="49"/>
      <c r="D52" s="49"/>
      <c r="E52" s="49"/>
      <c r="F52" s="49"/>
      <c r="G52" s="49"/>
      <c r="H52" s="49"/>
      <c r="I52" s="49"/>
      <c r="J52" s="50"/>
      <c r="K52" s="51"/>
    </row>
    <row r="53" spans="1:12" ht="17.25" customHeight="1" x14ac:dyDescent="0.25"/>
    <row r="54" spans="1:12" ht="17.25" customHeight="1" x14ac:dyDescent="0.25">
      <c r="B54" s="76" t="s">
        <v>18</v>
      </c>
      <c r="C54" s="77"/>
      <c r="D54" s="77"/>
      <c r="E54" s="77"/>
      <c r="F54" s="77"/>
      <c r="G54" s="77"/>
      <c r="H54" s="77"/>
      <c r="I54" s="77"/>
      <c r="J54" s="77"/>
      <c r="K54" s="78"/>
    </row>
    <row r="55" spans="1:12" ht="17.25" customHeight="1" x14ac:dyDescent="0.25">
      <c r="B55" s="18" t="str">
        <f>B12</f>
        <v>Varmeforbrug standardhus</v>
      </c>
      <c r="C55" s="20">
        <f>C12</f>
        <v>13.4</v>
      </c>
      <c r="D55" s="20" t="str">
        <f>D12</f>
        <v>[MWh]</v>
      </c>
      <c r="E55" s="21"/>
      <c r="F55" s="21"/>
      <c r="G55" s="21"/>
      <c r="H55" s="21"/>
      <c r="I55" s="21"/>
      <c r="J55" s="21"/>
      <c r="K55" s="23"/>
    </row>
    <row r="56" spans="1:12" ht="17.25" customHeight="1" x14ac:dyDescent="0.25">
      <c r="B56" s="24" t="s">
        <v>20</v>
      </c>
      <c r="C56" s="43">
        <v>10</v>
      </c>
      <c r="D56" s="59" t="s">
        <v>19</v>
      </c>
      <c r="E56" s="59"/>
      <c r="F56" s="59"/>
      <c r="G56" s="59"/>
      <c r="H56" s="25"/>
      <c r="I56" s="25"/>
      <c r="J56" s="31"/>
      <c r="K56" s="28"/>
    </row>
    <row r="57" spans="1:12" ht="17.25" customHeight="1" x14ac:dyDescent="0.25">
      <c r="B57" s="24" t="s">
        <v>21</v>
      </c>
      <c r="C57" s="43">
        <v>0.9</v>
      </c>
      <c r="D57" s="27" t="s">
        <v>22</v>
      </c>
      <c r="E57" s="25"/>
      <c r="F57" s="25"/>
      <c r="G57" s="25"/>
      <c r="H57" s="25"/>
      <c r="I57" s="25"/>
      <c r="J57" s="25"/>
      <c r="K57" s="28"/>
    </row>
    <row r="58" spans="1:12" ht="17.25" customHeight="1" x14ac:dyDescent="0.25">
      <c r="B58" s="24" t="s">
        <v>61</v>
      </c>
      <c r="C58" s="43">
        <v>10.99</v>
      </c>
      <c r="D58" s="73" t="s">
        <v>47</v>
      </c>
      <c r="E58" s="73"/>
      <c r="F58" s="73"/>
      <c r="G58" s="73"/>
      <c r="H58" s="25"/>
      <c r="I58" s="25"/>
      <c r="J58" s="25"/>
      <c r="K58" s="28"/>
    </row>
    <row r="59" spans="1:12" ht="17.25" customHeight="1" x14ac:dyDescent="0.25">
      <c r="B59" s="24" t="s">
        <v>48</v>
      </c>
      <c r="C59" s="60">
        <f>(C55/C56)/C57*1000</f>
        <v>1488.8888888888889</v>
      </c>
      <c r="D59" s="27" t="s">
        <v>23</v>
      </c>
      <c r="E59" s="25"/>
      <c r="F59" s="25"/>
      <c r="G59" s="25" t="s">
        <v>8</v>
      </c>
      <c r="H59" s="31">
        <f>C58*0.8</f>
        <v>8.7919999999999998</v>
      </c>
      <c r="I59" s="61" t="s">
        <v>24</v>
      </c>
      <c r="J59" s="27">
        <f>H59*C59</f>
        <v>13090.31111111111</v>
      </c>
      <c r="K59" s="28" t="s">
        <v>10</v>
      </c>
    </row>
    <row r="60" spans="1:12" ht="17.25" customHeight="1" x14ac:dyDescent="0.25">
      <c r="B60" s="24" t="s">
        <v>25</v>
      </c>
      <c r="C60" s="25"/>
      <c r="D60" s="25"/>
      <c r="E60" s="25"/>
      <c r="F60" s="25"/>
      <c r="G60" s="25"/>
      <c r="H60" s="25"/>
      <c r="I60" s="25"/>
      <c r="J60" s="45">
        <v>2000</v>
      </c>
      <c r="K60" s="28" t="s">
        <v>10</v>
      </c>
    </row>
    <row r="61" spans="1:12" ht="17.25" customHeight="1" x14ac:dyDescent="0.25">
      <c r="B61" s="24" t="s">
        <v>26</v>
      </c>
      <c r="C61" s="25"/>
      <c r="D61" s="25"/>
      <c r="E61" s="25"/>
      <c r="F61" s="25"/>
      <c r="G61" s="25"/>
      <c r="H61" s="27"/>
      <c r="I61" s="25"/>
      <c r="J61" s="62">
        <v>2000</v>
      </c>
      <c r="K61" s="28" t="s">
        <v>10</v>
      </c>
    </row>
    <row r="62" spans="1:12" ht="17.25" customHeight="1" x14ac:dyDescent="0.25">
      <c r="B62" s="15" t="s">
        <v>14</v>
      </c>
      <c r="C62" s="25"/>
      <c r="D62" s="25"/>
      <c r="E62" s="25"/>
      <c r="F62" s="25"/>
      <c r="G62" s="25"/>
      <c r="H62" s="25"/>
      <c r="I62" s="25"/>
      <c r="J62" s="22">
        <f>SUM(J56:J61)</f>
        <v>17090.31111111111</v>
      </c>
      <c r="K62" s="28" t="s">
        <v>10</v>
      </c>
      <c r="L62" s="47"/>
    </row>
    <row r="63" spans="1:12" ht="3" customHeight="1" x14ac:dyDescent="0.25">
      <c r="A63" s="53"/>
      <c r="B63" s="24" t="s">
        <v>12</v>
      </c>
      <c r="C63" s="25"/>
      <c r="D63" s="25"/>
      <c r="E63" s="25"/>
      <c r="F63" s="25"/>
      <c r="G63" s="25"/>
      <c r="H63" s="25"/>
      <c r="I63" s="25"/>
      <c r="J63" s="4">
        <f>J62*0.25</f>
        <v>4272.5777777777776</v>
      </c>
      <c r="K63" s="2" t="s">
        <v>10</v>
      </c>
      <c r="L63" s="47"/>
    </row>
    <row r="64" spans="1:12" ht="15.75" thickBot="1" x14ac:dyDescent="0.3">
      <c r="B64" s="41" t="s">
        <v>15</v>
      </c>
      <c r="J64" s="9">
        <f>J63+J62</f>
        <v>21362.888888888887</v>
      </c>
      <c r="K64" s="52" t="s">
        <v>10</v>
      </c>
    </row>
    <row r="65" spans="2:11" ht="15.75" thickTop="1" x14ac:dyDescent="0.25">
      <c r="B65" s="49"/>
      <c r="C65" s="49"/>
      <c r="D65" s="49"/>
      <c r="E65" s="49"/>
      <c r="F65" s="49"/>
      <c r="G65" s="49"/>
      <c r="H65" s="49"/>
      <c r="I65" s="49"/>
      <c r="J65" s="49"/>
      <c r="K65" s="51"/>
    </row>
  </sheetData>
  <mergeCells count="16">
    <mergeCell ref="D58:G58"/>
    <mergeCell ref="O29:S29"/>
    <mergeCell ref="D29:H29"/>
    <mergeCell ref="B1:V1"/>
    <mergeCell ref="B11:K11"/>
    <mergeCell ref="B26:K26"/>
    <mergeCell ref="B54:K54"/>
    <mergeCell ref="M11:V11"/>
    <mergeCell ref="M26:V26"/>
    <mergeCell ref="B4:K4"/>
    <mergeCell ref="M4:V4"/>
    <mergeCell ref="U5:V5"/>
    <mergeCell ref="B2:V2"/>
    <mergeCell ref="B40:K40"/>
    <mergeCell ref="D43:H43"/>
    <mergeCell ref="U3:V3"/>
  </mergeCells>
  <pageMargins left="0.70866141732283472" right="0.70866141732283472" top="0.74803149606299213" bottom="0.74803149606299213" header="0.31496062992125984" footer="0.31496062992125984"/>
  <pageSetup paperSize="8" scale="76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96FE56C233D5448A9AC169F3872CB3" ma:contentTypeVersion="14" ma:contentTypeDescription="Create a new document." ma:contentTypeScope="" ma:versionID="a14bb4ba277513f3cdcbf35bb17a33b9">
  <xsd:schema xmlns:xsd="http://www.w3.org/2001/XMLSchema" xmlns:xs="http://www.w3.org/2001/XMLSchema" xmlns:p="http://schemas.microsoft.com/office/2006/metadata/properties" xmlns:ns1="http://schemas.microsoft.com/sharepoint/v3" xmlns:ns2="5abda2dc-ce7f-42ca-8706-33b15f3a7554" xmlns:ns3="506feb21-6f69-4bf8-aab4-254fcfcc2439" targetNamespace="http://schemas.microsoft.com/office/2006/metadata/properties" ma:root="true" ma:fieldsID="c96ec3f171a9fdc8d215631f694f87ab" ns1:_="" ns2:_="" ns3:_="">
    <xsd:import namespace="http://schemas.microsoft.com/sharepoint/v3"/>
    <xsd:import namespace="5abda2dc-ce7f-42ca-8706-33b15f3a7554"/>
    <xsd:import namespace="506feb21-6f69-4bf8-aab4-254fcfcc24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da2dc-ce7f-42ca-8706-33b15f3a75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f149d4e-d984-4040-a385-7c0462fa1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feb21-6f69-4bf8-aab4-254fcfcc243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2ae3bfb-ffba-4d0e-8bdc-74450ed7620b}" ma:internalName="TaxCatchAll" ma:showField="CatchAllData" ma:web="506feb21-6f69-4bf8-aab4-254fcfcc24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bda2dc-ce7f-42ca-8706-33b15f3a7554">
      <Terms xmlns="http://schemas.microsoft.com/office/infopath/2007/PartnerControls"/>
    </lcf76f155ced4ddcb4097134ff3c332f>
    <_ip_UnifiedCompliancePolicyUIAction xmlns="http://schemas.microsoft.com/sharepoint/v3" xsi:nil="true"/>
    <TaxCatchAll xmlns="506feb21-6f69-4bf8-aab4-254fcfcc2439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3C81135-2496-40D5-BC05-E4DB0F6827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abda2dc-ce7f-42ca-8706-33b15f3a7554"/>
    <ds:schemaRef ds:uri="506feb21-6f69-4bf8-aab4-254fcfcc24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3D817A-6914-4058-B824-49B9C6B86F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FAD492-ED02-4404-A300-7E60BC9A8180}">
  <ds:schemaRefs>
    <ds:schemaRef ds:uri="http://schemas.microsoft.com/office/2006/metadata/properties"/>
    <ds:schemaRef ds:uri="http://schemas.microsoft.com/office/infopath/2007/PartnerControls"/>
    <ds:schemaRef ds:uri="5abda2dc-ce7f-42ca-8706-33b15f3a7554"/>
    <ds:schemaRef ds:uri="http://schemas.microsoft.com/sharepoint/v3"/>
    <ds:schemaRef ds:uri="506feb21-6f69-4bf8-aab4-254fcfcc24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mhk</dc:creator>
  <cp:lastModifiedBy>Morten Rauhe - Hvide Sande Fjernvarme</cp:lastModifiedBy>
  <cp:lastPrinted>2022-01-06T09:29:14Z</cp:lastPrinted>
  <dcterms:created xsi:type="dcterms:W3CDTF">2015-08-11T12:02:36Z</dcterms:created>
  <dcterms:modified xsi:type="dcterms:W3CDTF">2025-12-16T10:20:48Z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0x0101009196FE56C233D5448A9AC169F3872CB3</vt:lpwstr>
  </property>
  <property fmtid="{D5CDD505-2E9C-101B-9397-08002B2CF9AE}" pid="3" name="Order">
    <vt:r8>100</vt:r8>
  </property>
  <property fmtid="{D5CDD505-2E9C-101B-9397-08002B2CF9AE}" pid="4" name="MSIP_Label_c621979f-c2c3-492b-a987-1da0a7bbdfdc_Enabled">
    <vt:lpwstr>true</vt:lpwstr>
  </property>
  <property fmtid="{D5CDD505-2E9C-101B-9397-08002B2CF9AE}" pid="5" name="MSIP_Label_c621979f-c2c3-492b-a987-1da0a7bbdfdc_SetDate">
    <vt:lpwstr>2025-12-16T07:58:46Z</vt:lpwstr>
  </property>
  <property fmtid="{D5CDD505-2E9C-101B-9397-08002B2CF9AE}" pid="6" name="MSIP_Label_c621979f-c2c3-492b-a987-1da0a7bbdfdc_Method">
    <vt:lpwstr>Standard</vt:lpwstr>
  </property>
  <property fmtid="{D5CDD505-2E9C-101B-9397-08002B2CF9AE}" pid="7" name="MSIP_Label_c621979f-c2c3-492b-a987-1da0a7bbdfdc_Name">
    <vt:lpwstr>Public</vt:lpwstr>
  </property>
  <property fmtid="{D5CDD505-2E9C-101B-9397-08002B2CF9AE}" pid="8" name="MSIP_Label_c621979f-c2c3-492b-a987-1da0a7bbdfdc_SiteId">
    <vt:lpwstr>d8ccabb5-3a63-4623-b3b5-819dd23834ed</vt:lpwstr>
  </property>
  <property fmtid="{D5CDD505-2E9C-101B-9397-08002B2CF9AE}" pid="9" name="MSIP_Label_c621979f-c2c3-492b-a987-1da0a7bbdfdc_ActionId">
    <vt:lpwstr>86081549-98d4-4278-b70d-7e968e7e77fa</vt:lpwstr>
  </property>
  <property fmtid="{D5CDD505-2E9C-101B-9397-08002B2CF9AE}" pid="10" name="MSIP_Label_c621979f-c2c3-492b-a987-1da0a7bbdfdc_ContentBits">
    <vt:lpwstr>0</vt:lpwstr>
  </property>
  <property fmtid="{D5CDD505-2E9C-101B-9397-08002B2CF9AE}" pid="11" name="MSIP_Label_c621979f-c2c3-492b-a987-1da0a7bbdfdc_Tag">
    <vt:lpwstr>10, 3, 0, 1</vt:lpwstr>
  </property>
  <property fmtid="{D5CDD505-2E9C-101B-9397-08002B2CF9AE}" pid="12" name="MediaServiceImageTags">
    <vt:lpwstr/>
  </property>
</Properties>
</file>